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5300f0bede1d0bea/Desktop/Budget/"/>
    </mc:Choice>
  </mc:AlternateContent>
  <xr:revisionPtr revIDLastSave="64" documentId="8_{F20CA579-4FC5-437F-A0D6-B59B92ED4543}" xr6:coauthVersionLast="47" xr6:coauthVersionMax="47" xr10:uidLastSave="{9A6AF2D7-1EEC-4795-AB94-FAB6156A2885}"/>
  <bookViews>
    <workbookView xWindow="-120" yWindow="-120" windowWidth="29040" windowHeight="15720" xr2:uid="{00000000-000D-0000-FFFF-FFFF00000000}"/>
  </bookViews>
  <sheets>
    <sheet name="Profit and Loss" sheetId="1" r:id="rId1"/>
    <sheet name="Sheet1 10 months " sheetId="4" r:id="rId2"/>
    <sheet name="PD" sheetId="2" r:id="rId3"/>
    <sheet name="General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32" i="1"/>
  <c r="G13" i="1"/>
  <c r="I13" i="1"/>
  <c r="J13" i="1" s="1"/>
  <c r="B21" i="4"/>
  <c r="B40" i="4" s="1"/>
  <c r="J39" i="1"/>
  <c r="J30" i="1"/>
  <c r="J32" i="1" s="1"/>
  <c r="H39" i="1"/>
  <c r="F39" i="1"/>
  <c r="B39" i="1"/>
  <c r="D39" i="1"/>
  <c r="G38" i="1"/>
  <c r="G37" i="1"/>
  <c r="G27" i="1"/>
  <c r="H27" i="1" s="1"/>
  <c r="G28" i="1"/>
  <c r="H28" i="1" s="1"/>
  <c r="G29" i="1"/>
  <c r="H29" i="1" s="1"/>
  <c r="G22" i="1"/>
  <c r="G8" i="1"/>
  <c r="I8" i="1" s="1"/>
  <c r="J8" i="1" s="1"/>
  <c r="G9" i="1"/>
  <c r="H9" i="1" s="1"/>
  <c r="I9" i="1" s="1"/>
  <c r="G10" i="1"/>
  <c r="I10" i="1" s="1"/>
  <c r="J10" i="1" s="1"/>
  <c r="G11" i="1"/>
  <c r="I11" i="1" s="1"/>
  <c r="J11" i="1" s="1"/>
  <c r="G12" i="1"/>
  <c r="I12" i="1" s="1"/>
  <c r="J12" i="1" s="1"/>
  <c r="G14" i="1"/>
  <c r="I14" i="1" s="1"/>
  <c r="J14" i="1" s="1"/>
  <c r="G15" i="1"/>
  <c r="H15" i="1" s="1"/>
  <c r="I15" i="1" s="1"/>
  <c r="G16" i="1"/>
  <c r="I16" i="1" s="1"/>
  <c r="J16" i="1" s="1"/>
  <c r="G17" i="1"/>
  <c r="H17" i="1" s="1"/>
  <c r="I17" i="1" s="1"/>
  <c r="G18" i="1"/>
  <c r="H18" i="1" s="1"/>
  <c r="I18" i="1" s="1"/>
  <c r="G19" i="1"/>
  <c r="H19" i="1" s="1"/>
  <c r="I19" i="1" s="1"/>
  <c r="G20" i="1"/>
  <c r="H20" i="1" s="1"/>
  <c r="I20" i="1" s="1"/>
  <c r="B44" i="4"/>
  <c r="B43" i="4"/>
  <c r="B45" i="4" s="1"/>
  <c r="B46" i="4" s="1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18" i="4"/>
  <c r="B19" i="4" s="1"/>
  <c r="B17" i="4"/>
  <c r="B16" i="4"/>
  <c r="B15" i="4"/>
  <c r="B14" i="4"/>
  <c r="B13" i="4"/>
  <c r="B12" i="4"/>
  <c r="B11" i="4"/>
  <c r="B10" i="4"/>
  <c r="B9" i="4"/>
  <c r="B8" i="4"/>
  <c r="B7" i="4"/>
  <c r="F23" i="1"/>
  <c r="B14" i="2"/>
  <c r="B1" i="3"/>
  <c r="B2" i="3"/>
  <c r="B18" i="3" s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D30" i="1"/>
  <c r="D32" i="1" s="1"/>
  <c r="B13" i="2"/>
  <c r="B30" i="1"/>
  <c r="B32" i="1" s="1"/>
  <c r="D23" i="1" l="1"/>
  <c r="D34" i="1" s="1"/>
  <c r="D41" i="1" s="1"/>
  <c r="B23" i="1"/>
  <c r="F34" i="1"/>
  <c r="F41" i="1" s="1"/>
  <c r="H32" i="1"/>
  <c r="H23" i="1"/>
  <c r="I22" i="1"/>
  <c r="J22" i="1" s="1"/>
  <c r="J23" i="1" s="1"/>
  <c r="J34" i="1" s="1"/>
  <c r="B41" i="4"/>
  <c r="B47" i="4" s="1"/>
  <c r="H34" i="1" l="1"/>
  <c r="H41" i="1" s="1"/>
  <c r="B34" i="1"/>
  <c r="B41" i="1" s="1"/>
</calcChain>
</file>

<file path=xl/sharedStrings.xml><?xml version="1.0" encoding="utf-8"?>
<sst xmlns="http://schemas.openxmlformats.org/spreadsheetml/2006/main" count="125" uniqueCount="89">
  <si>
    <t>Income</t>
  </si>
  <si>
    <t xml:space="preserve">   4100 Sales Tax</t>
  </si>
  <si>
    <t xml:space="preserve">   4150 Use Tax</t>
  </si>
  <si>
    <t xml:space="preserve">   4160 Alcoholic Beverage Tax</t>
  </si>
  <si>
    <t xml:space="preserve">   4170 Cigarette Tax</t>
  </si>
  <si>
    <t xml:space="preserve">   4175 Gas Tax</t>
  </si>
  <si>
    <t xml:space="preserve">   4200 Franchise Tax</t>
  </si>
  <si>
    <t xml:space="preserve">   4300 Fines and Forfeitures - PD</t>
  </si>
  <si>
    <t xml:space="preserve">   4400 Rental income</t>
  </si>
  <si>
    <t xml:space="preserve">   4440 Permits and Fees</t>
  </si>
  <si>
    <t xml:space="preserve">   4480 Donations - Police</t>
  </si>
  <si>
    <t xml:space="preserve">   4490 Donations</t>
  </si>
  <si>
    <t xml:space="preserve">   4600 Grant revenue</t>
  </si>
  <si>
    <t xml:space="preserve">   4700 Miscellaneous Income</t>
  </si>
  <si>
    <t xml:space="preserve">   4800 Interest income</t>
  </si>
  <si>
    <t>Total Income</t>
  </si>
  <si>
    <t xml:space="preserve">   5100 Payroll tax expense</t>
  </si>
  <si>
    <t xml:space="preserve">   5101 Payroll tax expense - PD</t>
  </si>
  <si>
    <t xml:space="preserve">   6200 Telephone and internet</t>
  </si>
  <si>
    <t xml:space="preserve">   6201 Telephone and Internet - PD</t>
  </si>
  <si>
    <t xml:space="preserve">   6290 Office supplies</t>
  </si>
  <si>
    <t xml:space="preserve">   6291 Office supplies - PD</t>
  </si>
  <si>
    <t xml:space="preserve">   6300 Trash service</t>
  </si>
  <si>
    <t xml:space="preserve">   6310 Utilities and sewer</t>
  </si>
  <si>
    <t xml:space="preserve">   6311 Utilities and sewer - PD</t>
  </si>
  <si>
    <t xml:space="preserve">   6400 Insurance- Liability and Commercial</t>
  </si>
  <si>
    <t xml:space="preserve">   6401 Insurance - Liability and Commerical - PD</t>
  </si>
  <si>
    <t xml:space="preserve">   6420 Professional and Legal</t>
  </si>
  <si>
    <t xml:space="preserve">   6470 Contracted services</t>
  </si>
  <si>
    <t xml:space="preserve">   6471 Contracted services - PD</t>
  </si>
  <si>
    <t xml:space="preserve">   6500 CNA Bonding &amp; Notary</t>
  </si>
  <si>
    <t xml:space="preserve">   6518 License and other state fees</t>
  </si>
  <si>
    <t xml:space="preserve">   6550 Bank Charges &amp; Fees</t>
  </si>
  <si>
    <t xml:space="preserve">   6700 Maintenance and Repairs</t>
  </si>
  <si>
    <t xml:space="preserve">   6701 Maintenance and repairs - PD</t>
  </si>
  <si>
    <t xml:space="preserve">   6710 Materials and Supplies</t>
  </si>
  <si>
    <t xml:space="preserve">   6711 Materials and Supplies - PD</t>
  </si>
  <si>
    <t xml:space="preserve">   6800 Dues Memberships Conf and Training</t>
  </si>
  <si>
    <t xml:space="preserve">   6801 Dues Memberships Conf and Training - PD</t>
  </si>
  <si>
    <t xml:space="preserve">   6810 Travel</t>
  </si>
  <si>
    <t xml:space="preserve">   6811 Travel - PD</t>
  </si>
  <si>
    <t xml:space="preserve">   6830 Fuel - PD</t>
  </si>
  <si>
    <t xml:space="preserve">   6888 Miscellaneous - PD</t>
  </si>
  <si>
    <t xml:space="preserve">   6899 Miscellaneous</t>
  </si>
  <si>
    <t xml:space="preserve">   7000 Capital Outlay</t>
  </si>
  <si>
    <t xml:space="preserve">   7001 Capital Outlay - PD</t>
  </si>
  <si>
    <t xml:space="preserve">   9999 Uncategorized Expense - DO NOT USE</t>
  </si>
  <si>
    <t>Total Expenses</t>
  </si>
  <si>
    <t xml:space="preserve">   8100 Transfers Out</t>
  </si>
  <si>
    <t>Town of  Foyil</t>
  </si>
  <si>
    <t>Profit and Loss</t>
  </si>
  <si>
    <t>Operating Expenses</t>
  </si>
  <si>
    <t>General Government</t>
  </si>
  <si>
    <t>Personal Services</t>
  </si>
  <si>
    <t>Maintenance and Operations</t>
  </si>
  <si>
    <t>Total General</t>
  </si>
  <si>
    <t>Total Operating Expenses</t>
  </si>
  <si>
    <t>Operating Income (Loss)</t>
  </si>
  <si>
    <t>Other Income (Expenses)</t>
  </si>
  <si>
    <t>Actual</t>
  </si>
  <si>
    <t>Amended</t>
  </si>
  <si>
    <t>Contingencies</t>
  </si>
  <si>
    <t>Budget</t>
  </si>
  <si>
    <t>10 Months</t>
  </si>
  <si>
    <t>July 2023 - April 2024</t>
  </si>
  <si>
    <t>Total</t>
  </si>
  <si>
    <t xml:space="preserve">   4180 Interest</t>
  </si>
  <si>
    <t>Gross Profit</t>
  </si>
  <si>
    <t>Expenses</t>
  </si>
  <si>
    <t xml:space="preserve">   5000 Salaries</t>
  </si>
  <si>
    <t xml:space="preserve">   6250 Copier service agreement</t>
  </si>
  <si>
    <t>Net Operating Income</t>
  </si>
  <si>
    <t>Other Expenses</t>
  </si>
  <si>
    <t xml:space="preserve">   9998 Reconciliation Discrepancies</t>
  </si>
  <si>
    <t>Total Other Expenses</t>
  </si>
  <si>
    <t>Net Other Income</t>
  </si>
  <si>
    <t>Net Income</t>
  </si>
  <si>
    <t xml:space="preserve">12 Months </t>
  </si>
  <si>
    <t>Projected</t>
  </si>
  <si>
    <t>Total Income (Expenses)</t>
  </si>
  <si>
    <t>EXCESS (DEFICIT)</t>
  </si>
  <si>
    <t xml:space="preserve">Proposed </t>
  </si>
  <si>
    <t xml:space="preserve">   4300 Fines&amp;Forfeitures - PD</t>
  </si>
  <si>
    <t>Town of Foyil Adopted Budget FY25-26</t>
  </si>
  <si>
    <t>2025-26</t>
  </si>
  <si>
    <t>Surplus Cash -June 24 or 25</t>
  </si>
  <si>
    <t>2026-2027</t>
  </si>
  <si>
    <t>valid account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</si>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</sst>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.00\ _€"/>
    <numFmt numFmtId="165" formatCode="&quot;$&quot;* #,##0.00\ _€"/>
    <numFmt numFmtId="166" formatCode="&quot;$&quot;#,##0.00"/>
    <numFmt numFmtId="167" formatCode=";;;"/>
  </numFmts>
  <fonts count="13" x14ac:knownFonts="1">
    <font>
      <sz val="11"/>
      <color indexed="8"/>
      <name val="Aptos Narrow"/>
      <family val="2"/>
      <scheme val="minor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  <family val="2"/>
    </font>
    <font>
      <sz val="8"/>
      <name val="Aptos Narrow"/>
      <family val="2"/>
      <scheme val="minor"/>
    </font>
    <font>
      <sz val="8"/>
      <color indexed="8"/>
      <name val="Arial"/>
      <family val="2"/>
    </font>
    <font>
      <b/>
      <sz val="9"/>
      <color indexed="8"/>
      <name val="Arial"/>
    </font>
    <font>
      <sz val="7"/>
      <color indexed="8"/>
      <name val="Arial"/>
      <family val="2"/>
    </font>
    <font>
      <sz val="7"/>
      <color indexed="8"/>
      <name val="Aptos Narrow"/>
      <family val="2"/>
      <scheme val="minor"/>
    </font>
    <font>
      <sz val="9"/>
      <color indexed="8"/>
      <name val="Arial"/>
      <family val="2"/>
    </font>
    <font>
      <sz val="9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0" fontId="7" fillId="0" borderId="0" xfId="0" applyFont="1"/>
    <xf numFmtId="166" fontId="2" fillId="0" borderId="0" xfId="0" applyNumberFormat="1" applyFont="1" applyAlignment="1">
      <alignment horizontal="right" wrapText="1"/>
    </xf>
    <xf numFmtId="0" fontId="8" fillId="0" borderId="3" xfId="0" applyFont="1" applyBorder="1" applyAlignment="1">
      <alignment horizontal="center" wrapText="1"/>
    </xf>
    <xf numFmtId="0" fontId="5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64" fontId="11" fillId="0" borderId="0" xfId="0" applyNumberFormat="1" applyFont="1" applyAlignment="1">
      <alignment wrapText="1"/>
    </xf>
    <xf numFmtId="165" fontId="11" fillId="0" borderId="0" xfId="0" applyNumberFormat="1" applyFont="1" applyAlignment="1">
      <alignment horizontal="right" wrapText="1"/>
    </xf>
    <xf numFmtId="167" fontId="11" fillId="0" borderId="0" xfId="0" applyNumberFormat="1" applyFont="1"/>
    <xf numFmtId="40" fontId="11" fillId="0" borderId="0" xfId="0" applyNumberFormat="1" applyFont="1" applyAlignment="1">
      <alignment horizontal="right" wrapText="1"/>
    </xf>
    <xf numFmtId="165" fontId="5" fillId="0" borderId="2" xfId="0" applyNumberFormat="1" applyFont="1" applyBorder="1" applyAlignment="1">
      <alignment horizontal="right" wrapText="1"/>
    </xf>
    <xf numFmtId="40" fontId="11" fillId="0" borderId="0" xfId="0" applyNumberFormat="1" applyFont="1"/>
    <xf numFmtId="4" fontId="5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left" wrapText="1"/>
    </xf>
    <xf numFmtId="164" fontId="11" fillId="2" borderId="0" xfId="0" applyNumberFormat="1" applyFont="1" applyFill="1" applyAlignment="1">
      <alignment horizontal="right" wrapText="1"/>
    </xf>
    <xf numFmtId="0" fontId="12" fillId="2" borderId="0" xfId="0" applyFont="1" applyFill="1"/>
    <xf numFmtId="4" fontId="11" fillId="2" borderId="0" xfId="0" applyNumberFormat="1" applyFont="1" applyFill="1"/>
    <xf numFmtId="40" fontId="11" fillId="2" borderId="0" xfId="0" applyNumberFormat="1" applyFont="1" applyFill="1" applyAlignment="1">
      <alignment horizontal="right" wrapText="1"/>
    </xf>
    <xf numFmtId="167" fontId="11" fillId="2" borderId="0" xfId="0" applyNumberFormat="1" applyFont="1" applyFill="1"/>
    <xf numFmtId="0" fontId="0" fillId="2" borderId="0" xfId="0" applyFill="1"/>
    <xf numFmtId="165" fontId="5" fillId="2" borderId="2" xfId="0" applyNumberFormat="1" applyFont="1" applyFill="1" applyBorder="1" applyAlignment="1">
      <alignment horizontal="right" wrapText="1"/>
    </xf>
    <xf numFmtId="0" fontId="11" fillId="2" borderId="0" xfId="0" applyFont="1" applyFill="1"/>
    <xf numFmtId="164" fontId="11" fillId="2" borderId="0" xfId="0" applyNumberFormat="1" applyFont="1" applyFill="1" applyAlignment="1">
      <alignment wrapText="1"/>
    </xf>
    <xf numFmtId="2" fontId="11" fillId="2" borderId="0" xfId="0" applyNumberFormat="1" applyFont="1" applyFill="1"/>
    <xf numFmtId="39" fontId="11" fillId="2" borderId="0" xfId="0" applyNumberFormat="1" applyFont="1" applyFill="1" applyAlignment="1">
      <alignment horizontal="right" wrapText="1"/>
    </xf>
    <xf numFmtId="166" fontId="11" fillId="2" borderId="0" xfId="0" applyNumberFormat="1" applyFont="1" applyFill="1" applyAlignment="1">
      <alignment wrapText="1"/>
    </xf>
    <xf numFmtId="166" fontId="5" fillId="2" borderId="0" xfId="0" applyNumberFormat="1" applyFont="1" applyFill="1" applyAlignment="1">
      <alignment wrapText="1"/>
    </xf>
    <xf numFmtId="8" fontId="5" fillId="2" borderId="2" xfId="0" applyNumberFormat="1" applyFont="1" applyFill="1" applyBorder="1" applyAlignment="1">
      <alignment wrapText="1"/>
    </xf>
    <xf numFmtId="166" fontId="5" fillId="2" borderId="2" xfId="0" applyNumberFormat="1" applyFont="1" applyFill="1" applyBorder="1" applyAlignment="1">
      <alignment wrapText="1"/>
    </xf>
    <xf numFmtId="4" fontId="5" fillId="2" borderId="0" xfId="0" applyNumberFormat="1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14" zoomScaleNormal="100" workbookViewId="0">
      <selection activeCell="N27" sqref="N27"/>
    </sheetView>
  </sheetViews>
  <sheetFormatPr defaultRowHeight="15" x14ac:dyDescent="0.25"/>
  <cols>
    <col min="1" max="1" width="25.140625" customWidth="1"/>
    <col min="2" max="2" width="12.28515625" customWidth="1"/>
    <col min="3" max="3" width="3.5703125" customWidth="1"/>
    <col min="4" max="4" width="11.85546875" customWidth="1"/>
    <col min="5" max="5" width="3.5703125" customWidth="1"/>
    <col min="6" max="6" width="11.42578125" customWidth="1"/>
    <col min="7" max="7" width="5.42578125" customWidth="1"/>
    <col min="8" max="8" width="12.5703125" customWidth="1"/>
    <col min="9" max="9" width="4.42578125" customWidth="1"/>
    <col min="10" max="10" width="12.28515625" style="6" bestFit="1" customWidth="1"/>
  </cols>
  <sheetData>
    <row r="1" spans="1:11" x14ac:dyDescent="0.25">
      <c r="A1" s="9" t="s">
        <v>83</v>
      </c>
      <c r="B1" s="12"/>
      <c r="C1" s="13"/>
      <c r="D1" s="13"/>
      <c r="E1" s="13"/>
      <c r="F1" s="13"/>
      <c r="G1" s="13"/>
      <c r="H1" s="13"/>
      <c r="I1" s="13"/>
      <c r="J1" s="12"/>
    </row>
    <row r="2" spans="1:11" x14ac:dyDescent="0.25">
      <c r="A2" s="13"/>
      <c r="B2" s="13"/>
      <c r="C2" s="13"/>
      <c r="D2" s="13"/>
      <c r="E2" s="13"/>
      <c r="F2" s="13"/>
      <c r="G2" s="13"/>
      <c r="H2" s="13"/>
      <c r="I2" s="13"/>
      <c r="J2" s="12"/>
    </row>
    <row r="3" spans="1:11" x14ac:dyDescent="0.25">
      <c r="A3" s="14"/>
      <c r="B3" s="15" t="s">
        <v>84</v>
      </c>
      <c r="C3" s="13"/>
      <c r="D3" s="16" t="s">
        <v>84</v>
      </c>
      <c r="E3" s="13"/>
      <c r="F3" s="16" t="s">
        <v>84</v>
      </c>
      <c r="G3" s="13"/>
      <c r="H3" s="16" t="s">
        <v>84</v>
      </c>
      <c r="I3" s="13"/>
      <c r="J3" s="16" t="s">
        <v>81</v>
      </c>
    </row>
    <row r="4" spans="1:11" x14ac:dyDescent="0.25">
      <c r="A4" s="14"/>
      <c r="B4" s="15" t="s">
        <v>59</v>
      </c>
      <c r="C4" s="13"/>
      <c r="D4" s="16" t="s">
        <v>60</v>
      </c>
      <c r="E4" s="13"/>
      <c r="F4" s="16" t="s">
        <v>63</v>
      </c>
      <c r="G4" s="13"/>
      <c r="H4" s="16" t="s">
        <v>77</v>
      </c>
      <c r="I4" s="13"/>
      <c r="J4" s="16" t="s">
        <v>62</v>
      </c>
    </row>
    <row r="5" spans="1:11" x14ac:dyDescent="0.25">
      <c r="A5" s="14"/>
      <c r="B5" s="15"/>
      <c r="C5" s="13"/>
      <c r="D5" s="16" t="s">
        <v>62</v>
      </c>
      <c r="E5" s="13"/>
      <c r="F5" s="15" t="s">
        <v>59</v>
      </c>
      <c r="G5" s="13"/>
      <c r="H5" s="16" t="s">
        <v>78</v>
      </c>
      <c r="I5" s="13"/>
      <c r="J5" s="16" t="s">
        <v>86</v>
      </c>
    </row>
    <row r="6" spans="1:11" x14ac:dyDescent="0.25">
      <c r="A6" s="14"/>
      <c r="B6" s="15"/>
      <c r="C6" s="13"/>
      <c r="D6" s="13"/>
      <c r="E6" s="13"/>
      <c r="F6" s="13"/>
      <c r="G6" s="13"/>
      <c r="H6" s="13"/>
      <c r="I6" s="13"/>
      <c r="J6" s="12"/>
    </row>
    <row r="7" spans="1:11" x14ac:dyDescent="0.25">
      <c r="A7" s="17" t="s">
        <v>0</v>
      </c>
      <c r="B7" s="18"/>
      <c r="C7" s="13"/>
      <c r="D7" s="13"/>
      <c r="E7" s="13"/>
      <c r="F7" s="13"/>
      <c r="G7" s="13"/>
      <c r="H7" s="13"/>
      <c r="I7" s="13"/>
      <c r="J7" s="12"/>
    </row>
    <row r="8" spans="1:11" x14ac:dyDescent="0.25">
      <c r="A8" s="17" t="s">
        <v>1</v>
      </c>
      <c r="B8" s="19">
        <v>139949.15</v>
      </c>
      <c r="C8" s="13"/>
      <c r="D8" s="19">
        <v>136461.38</v>
      </c>
      <c r="E8" s="13"/>
      <c r="F8" s="19">
        <v>91011.14</v>
      </c>
      <c r="G8" s="20">
        <f>F8/10</f>
        <v>9101.1139999999996</v>
      </c>
      <c r="H8" s="19">
        <v>109213.37</v>
      </c>
      <c r="I8" s="20">
        <f>H8*0.02</f>
        <v>2184.2673999999997</v>
      </c>
      <c r="J8" s="19">
        <f>SUM(I8,H8)</f>
        <v>111397.63739999999</v>
      </c>
    </row>
    <row r="9" spans="1:11" x14ac:dyDescent="0.25">
      <c r="A9" s="30" t="s">
        <v>2</v>
      </c>
      <c r="B9" s="31">
        <v>32386.22</v>
      </c>
      <c r="C9" s="32"/>
      <c r="D9" s="33">
        <v>30389.99</v>
      </c>
      <c r="E9" s="32"/>
      <c r="F9" s="34">
        <v>0</v>
      </c>
      <c r="G9" s="35">
        <f t="shared" ref="G9:G22" si="0">F9/10</f>
        <v>0</v>
      </c>
      <c r="H9" s="34">
        <f t="shared" ref="H9:H20" si="1">SUM(F9:G9)</f>
        <v>0</v>
      </c>
      <c r="I9" s="35">
        <f t="shared" ref="I9:I22" si="2">H9*0.02</f>
        <v>0</v>
      </c>
      <c r="J9" s="33">
        <v>0</v>
      </c>
      <c r="K9" s="36"/>
    </row>
    <row r="10" spans="1:11" ht="24.75" x14ac:dyDescent="0.25">
      <c r="A10" s="30" t="s">
        <v>3</v>
      </c>
      <c r="B10" s="31">
        <v>3787.44</v>
      </c>
      <c r="C10" s="32"/>
      <c r="D10" s="33">
        <v>3507.6</v>
      </c>
      <c r="E10" s="32"/>
      <c r="F10" s="34">
        <v>3251.36</v>
      </c>
      <c r="G10" s="35">
        <f t="shared" si="0"/>
        <v>325.13600000000002</v>
      </c>
      <c r="H10" s="34">
        <v>3901.63</v>
      </c>
      <c r="I10" s="35">
        <f t="shared" si="2"/>
        <v>78.032600000000002</v>
      </c>
      <c r="J10" s="33">
        <f t="shared" ref="J10:J16" si="3">SUM(I10,H10)</f>
        <v>3979.6626000000001</v>
      </c>
      <c r="K10" s="36"/>
    </row>
    <row r="11" spans="1:11" x14ac:dyDescent="0.25">
      <c r="A11" s="30" t="s">
        <v>4</v>
      </c>
      <c r="B11" s="31">
        <v>891.01</v>
      </c>
      <c r="C11" s="32"/>
      <c r="D11" s="33">
        <v>854.57</v>
      </c>
      <c r="E11" s="32"/>
      <c r="F11" s="34">
        <v>530.09</v>
      </c>
      <c r="G11" s="35">
        <f t="shared" si="0"/>
        <v>53.009</v>
      </c>
      <c r="H11" s="34">
        <v>636.11</v>
      </c>
      <c r="I11" s="35">
        <f t="shared" si="2"/>
        <v>12.722200000000001</v>
      </c>
      <c r="J11" s="33">
        <f t="shared" si="3"/>
        <v>648.83220000000006</v>
      </c>
      <c r="K11" s="36"/>
    </row>
    <row r="12" spans="1:11" x14ac:dyDescent="0.25">
      <c r="A12" s="30" t="s">
        <v>5</v>
      </c>
      <c r="B12" s="31">
        <v>738.55</v>
      </c>
      <c r="C12" s="32"/>
      <c r="D12" s="33">
        <v>687.62</v>
      </c>
      <c r="E12" s="32"/>
      <c r="F12" s="34">
        <v>647.14</v>
      </c>
      <c r="G12" s="35">
        <f t="shared" si="0"/>
        <v>64.713999999999999</v>
      </c>
      <c r="H12" s="34">
        <v>776.57</v>
      </c>
      <c r="I12" s="35">
        <f t="shared" si="2"/>
        <v>15.531400000000001</v>
      </c>
      <c r="J12" s="33">
        <f t="shared" si="3"/>
        <v>792.10140000000001</v>
      </c>
      <c r="K12" s="36"/>
    </row>
    <row r="13" spans="1:11" x14ac:dyDescent="0.25">
      <c r="A13" s="30" t="s">
        <v>66</v>
      </c>
      <c r="B13" s="31"/>
      <c r="C13" s="32"/>
      <c r="D13" s="33"/>
      <c r="E13" s="32"/>
      <c r="F13" s="34">
        <v>1022.46</v>
      </c>
      <c r="G13" s="35">
        <f t="shared" si="0"/>
        <v>102.24600000000001</v>
      </c>
      <c r="H13" s="34">
        <v>1226.95</v>
      </c>
      <c r="I13" s="35">
        <f t="shared" si="2"/>
        <v>24.539000000000001</v>
      </c>
      <c r="J13" s="33">
        <f t="shared" si="3"/>
        <v>1251.489</v>
      </c>
      <c r="K13" s="36" t="s">
        <v>87</v>
      </c>
    </row>
    <row r="14" spans="1:11" x14ac:dyDescent="0.25">
      <c r="A14" s="30" t="s">
        <v>6</v>
      </c>
      <c r="B14" s="31">
        <v>7469.57</v>
      </c>
      <c r="C14" s="32"/>
      <c r="D14" s="33">
        <v>7463.82</v>
      </c>
      <c r="E14" s="32"/>
      <c r="F14" s="34">
        <v>10327.34</v>
      </c>
      <c r="G14" s="35">
        <f t="shared" si="0"/>
        <v>1032.7339999999999</v>
      </c>
      <c r="H14" s="34">
        <v>12392.81</v>
      </c>
      <c r="I14" s="35">
        <f t="shared" si="2"/>
        <v>247.8562</v>
      </c>
      <c r="J14" s="33">
        <f t="shared" si="3"/>
        <v>12640.6662</v>
      </c>
      <c r="K14" s="36"/>
    </row>
    <row r="15" spans="1:11" ht="24.75" x14ac:dyDescent="0.25">
      <c r="A15" s="30" t="s">
        <v>82</v>
      </c>
      <c r="B15" s="31">
        <v>853</v>
      </c>
      <c r="C15" s="32"/>
      <c r="D15" s="33">
        <v>0</v>
      </c>
      <c r="E15" s="32"/>
      <c r="F15" s="34">
        <v>248.25</v>
      </c>
      <c r="G15" s="35">
        <f t="shared" si="0"/>
        <v>24.824999999999999</v>
      </c>
      <c r="H15" s="34">
        <f t="shared" si="1"/>
        <v>273.07499999999999</v>
      </c>
      <c r="I15" s="35">
        <f t="shared" si="2"/>
        <v>5.4615</v>
      </c>
      <c r="J15" s="33">
        <v>0</v>
      </c>
      <c r="K15" s="36"/>
    </row>
    <row r="16" spans="1:11" x14ac:dyDescent="0.25">
      <c r="A16" s="30" t="s">
        <v>8</v>
      </c>
      <c r="B16" s="31">
        <v>550</v>
      </c>
      <c r="C16" s="32"/>
      <c r="D16" s="33">
        <v>589.04999999999995</v>
      </c>
      <c r="E16" s="32"/>
      <c r="F16" s="34">
        <v>2525</v>
      </c>
      <c r="G16" s="35">
        <f t="shared" si="0"/>
        <v>252.5</v>
      </c>
      <c r="H16" s="34">
        <v>3030</v>
      </c>
      <c r="I16" s="35">
        <f t="shared" si="2"/>
        <v>60.6</v>
      </c>
      <c r="J16" s="33">
        <f t="shared" si="3"/>
        <v>3090.6</v>
      </c>
      <c r="K16" s="36"/>
    </row>
    <row r="17" spans="1:11" x14ac:dyDescent="0.25">
      <c r="A17" s="30" t="s">
        <v>9</v>
      </c>
      <c r="B17" s="31">
        <v>50</v>
      </c>
      <c r="C17" s="32"/>
      <c r="D17" s="33">
        <v>0</v>
      </c>
      <c r="E17" s="32"/>
      <c r="F17" s="34">
        <v>0</v>
      </c>
      <c r="G17" s="35">
        <f t="shared" si="0"/>
        <v>0</v>
      </c>
      <c r="H17" s="34">
        <f t="shared" si="1"/>
        <v>0</v>
      </c>
      <c r="I17" s="35">
        <f t="shared" si="2"/>
        <v>0</v>
      </c>
      <c r="J17" s="33">
        <v>0</v>
      </c>
      <c r="K17" s="36"/>
    </row>
    <row r="18" spans="1:11" x14ac:dyDescent="0.25">
      <c r="A18" s="30" t="s">
        <v>10</v>
      </c>
      <c r="B18" s="31">
        <v>0</v>
      </c>
      <c r="C18" s="32"/>
      <c r="D18" s="33">
        <v>0</v>
      </c>
      <c r="E18" s="32"/>
      <c r="F18" s="34">
        <v>0</v>
      </c>
      <c r="G18" s="35">
        <f t="shared" si="0"/>
        <v>0</v>
      </c>
      <c r="H18" s="34">
        <f t="shared" si="1"/>
        <v>0</v>
      </c>
      <c r="I18" s="35">
        <f t="shared" si="2"/>
        <v>0</v>
      </c>
      <c r="J18" s="33">
        <v>0</v>
      </c>
      <c r="K18" s="36"/>
    </row>
    <row r="19" spans="1:11" x14ac:dyDescent="0.25">
      <c r="A19" s="30" t="s">
        <v>11</v>
      </c>
      <c r="B19" s="31">
        <v>0</v>
      </c>
      <c r="C19" s="32"/>
      <c r="D19" s="33">
        <v>0</v>
      </c>
      <c r="E19" s="32"/>
      <c r="F19" s="34">
        <v>0</v>
      </c>
      <c r="G19" s="35">
        <f t="shared" si="0"/>
        <v>0</v>
      </c>
      <c r="H19" s="34">
        <f t="shared" si="1"/>
        <v>0</v>
      </c>
      <c r="I19" s="35">
        <f t="shared" si="2"/>
        <v>0</v>
      </c>
      <c r="J19" s="33">
        <v>0</v>
      </c>
      <c r="K19" s="36"/>
    </row>
    <row r="20" spans="1:11" x14ac:dyDescent="0.25">
      <c r="A20" s="30" t="s">
        <v>12</v>
      </c>
      <c r="B20" s="31">
        <v>0</v>
      </c>
      <c r="C20" s="32"/>
      <c r="D20" s="33">
        <v>0</v>
      </c>
      <c r="E20" s="32"/>
      <c r="F20" s="34">
        <v>0</v>
      </c>
      <c r="G20" s="35">
        <f t="shared" si="0"/>
        <v>0</v>
      </c>
      <c r="H20" s="34">
        <f t="shared" si="1"/>
        <v>0</v>
      </c>
      <c r="I20" s="35">
        <f t="shared" si="2"/>
        <v>0</v>
      </c>
      <c r="J20" s="33">
        <v>0</v>
      </c>
      <c r="K20" s="36"/>
    </row>
    <row r="21" spans="1:11" ht="24.75" x14ac:dyDescent="0.25">
      <c r="A21" s="30" t="s">
        <v>13</v>
      </c>
      <c r="B21" s="31">
        <v>3504.01</v>
      </c>
      <c r="C21" s="32"/>
      <c r="D21" s="33">
        <v>638</v>
      </c>
      <c r="E21" s="32"/>
      <c r="F21" s="34">
        <v>3848.42</v>
      </c>
      <c r="G21" s="35">
        <f>F21/10</f>
        <v>384.84199999999998</v>
      </c>
      <c r="H21" s="34">
        <v>4618.1000000000004</v>
      </c>
      <c r="I21" s="35"/>
      <c r="J21" s="33">
        <v>0</v>
      </c>
      <c r="K21" s="36"/>
    </row>
    <row r="22" spans="1:11" x14ac:dyDescent="0.25">
      <c r="A22" s="30" t="s">
        <v>14</v>
      </c>
      <c r="B22" s="31">
        <v>2659</v>
      </c>
      <c r="C22" s="32"/>
      <c r="D22" s="33">
        <v>2455.0500000000002</v>
      </c>
      <c r="E22" s="32"/>
      <c r="F22" s="34">
        <v>98.71</v>
      </c>
      <c r="G22" s="35">
        <f t="shared" si="0"/>
        <v>9.8709999999999987</v>
      </c>
      <c r="H22" s="34">
        <v>118.45</v>
      </c>
      <c r="I22" s="35">
        <f t="shared" si="2"/>
        <v>2.3690000000000002</v>
      </c>
      <c r="J22" s="33">
        <f>SUM(I22,H22)</f>
        <v>120.819</v>
      </c>
      <c r="K22" s="36" t="s">
        <v>88</v>
      </c>
    </row>
    <row r="23" spans="1:11" x14ac:dyDescent="0.25">
      <c r="A23" s="30" t="s">
        <v>15</v>
      </c>
      <c r="B23" s="37">
        <f>SUM(B8:B22)</f>
        <v>192837.95</v>
      </c>
      <c r="C23" s="32"/>
      <c r="D23" s="37">
        <f>SUM(D8:D22)</f>
        <v>183047.08</v>
      </c>
      <c r="E23" s="32"/>
      <c r="F23" s="37">
        <f>SUM(F8:F22)</f>
        <v>113509.91</v>
      </c>
      <c r="G23" s="38"/>
      <c r="H23" s="37">
        <f>SUM(H8:H22)</f>
        <v>136187.06500000003</v>
      </c>
      <c r="I23" s="32"/>
      <c r="J23" s="37">
        <f>SUM(J8:J22)</f>
        <v>133921.80779999998</v>
      </c>
      <c r="K23" s="36"/>
    </row>
    <row r="24" spans="1:11" x14ac:dyDescent="0.25">
      <c r="A24" s="32"/>
      <c r="B24" s="32"/>
      <c r="C24" s="32"/>
      <c r="D24" s="32"/>
      <c r="E24" s="32"/>
      <c r="F24" s="38"/>
      <c r="G24" s="38"/>
      <c r="H24" s="38"/>
      <c r="I24" s="32"/>
      <c r="J24" s="38"/>
      <c r="K24" s="36"/>
    </row>
    <row r="25" spans="1:11" x14ac:dyDescent="0.25">
      <c r="A25" s="30" t="s">
        <v>51</v>
      </c>
      <c r="B25" s="39"/>
      <c r="C25" s="32"/>
      <c r="D25" s="32"/>
      <c r="E25" s="32"/>
      <c r="F25" s="38"/>
      <c r="G25" s="38"/>
      <c r="H25" s="38"/>
      <c r="I25" s="32"/>
      <c r="J25" s="38"/>
      <c r="K25" s="36"/>
    </row>
    <row r="26" spans="1:11" x14ac:dyDescent="0.25">
      <c r="A26" s="30" t="s">
        <v>52</v>
      </c>
      <c r="B26" s="39"/>
      <c r="C26" s="32"/>
      <c r="D26" s="32"/>
      <c r="E26" s="32"/>
      <c r="F26" s="38"/>
      <c r="G26" s="38"/>
      <c r="H26" s="38"/>
      <c r="I26" s="32"/>
      <c r="J26" s="38"/>
      <c r="K26" s="36"/>
    </row>
    <row r="27" spans="1:11" x14ac:dyDescent="0.25">
      <c r="A27" s="30" t="s">
        <v>53</v>
      </c>
      <c r="B27" s="31">
        <v>12873.9</v>
      </c>
      <c r="C27" s="32"/>
      <c r="D27" s="40">
        <v>15000</v>
      </c>
      <c r="E27" s="32"/>
      <c r="F27" s="41">
        <v>10094.549999999999</v>
      </c>
      <c r="G27" s="35">
        <f>F27/10</f>
        <v>1009.4549999999999</v>
      </c>
      <c r="H27" s="41">
        <f>SUM(F27:G27)</f>
        <v>11104.004999999999</v>
      </c>
      <c r="I27" s="32"/>
      <c r="J27" s="40">
        <v>11326.09</v>
      </c>
      <c r="K27" s="36"/>
    </row>
    <row r="28" spans="1:11" x14ac:dyDescent="0.25">
      <c r="A28" s="30" t="s">
        <v>54</v>
      </c>
      <c r="B28" s="31">
        <v>3519.07</v>
      </c>
      <c r="C28" s="32"/>
      <c r="D28" s="40">
        <v>38037.68</v>
      </c>
      <c r="E28" s="32"/>
      <c r="F28" s="41">
        <v>39163.14</v>
      </c>
      <c r="G28" s="35">
        <f t="shared" ref="G28:G29" si="4">F28/10</f>
        <v>3916.3139999999999</v>
      </c>
      <c r="H28" s="41">
        <f t="shared" ref="H28:H29" si="5">SUM(F28:G28)</f>
        <v>43079.453999999998</v>
      </c>
      <c r="I28" s="32"/>
      <c r="J28" s="40">
        <v>43941.04</v>
      </c>
      <c r="K28" s="36"/>
    </row>
    <row r="29" spans="1:11" x14ac:dyDescent="0.25">
      <c r="A29" s="30" t="s">
        <v>61</v>
      </c>
      <c r="B29" s="31">
        <v>180136.79</v>
      </c>
      <c r="C29" s="32"/>
      <c r="D29" s="34">
        <v>0</v>
      </c>
      <c r="E29" s="32"/>
      <c r="F29" s="41">
        <v>0</v>
      </c>
      <c r="G29" s="35">
        <f t="shared" si="4"/>
        <v>0</v>
      </c>
      <c r="H29" s="41">
        <f t="shared" si="5"/>
        <v>0</v>
      </c>
      <c r="I29" s="32"/>
      <c r="J29" s="40">
        <v>0</v>
      </c>
      <c r="K29" s="36"/>
    </row>
    <row r="30" spans="1:11" x14ac:dyDescent="0.25">
      <c r="A30" s="30" t="s">
        <v>55</v>
      </c>
      <c r="B30" s="37">
        <f>SUM(B27:B29)</f>
        <v>196529.76</v>
      </c>
      <c r="C30" s="32"/>
      <c r="D30" s="37">
        <f>SUM(D27:D29)</f>
        <v>53037.68</v>
      </c>
      <c r="E30" s="32"/>
      <c r="F30" s="37">
        <v>67171.66</v>
      </c>
      <c r="G30" s="38"/>
      <c r="H30" s="37">
        <v>80605.990000000005</v>
      </c>
      <c r="I30" s="32"/>
      <c r="J30" s="37">
        <f>SUM(J27:J29)</f>
        <v>55267.130000000005</v>
      </c>
      <c r="K30" s="36"/>
    </row>
    <row r="31" spans="1:11" x14ac:dyDescent="0.25">
      <c r="A31" s="30"/>
      <c r="B31" s="42"/>
      <c r="C31" s="32"/>
      <c r="D31" s="38"/>
      <c r="E31" s="32"/>
      <c r="F31" s="38"/>
      <c r="G31" s="38"/>
      <c r="H31" s="38"/>
      <c r="I31" s="32"/>
      <c r="J31" s="38"/>
      <c r="K31" s="36"/>
    </row>
    <row r="32" spans="1:11" x14ac:dyDescent="0.25">
      <c r="A32" s="30" t="s">
        <v>56</v>
      </c>
      <c r="B32" s="37">
        <f>SUM(B30)</f>
        <v>196529.76</v>
      </c>
      <c r="C32" s="32"/>
      <c r="D32" s="37">
        <f>SUM(D30)</f>
        <v>53037.68</v>
      </c>
      <c r="E32" s="32"/>
      <c r="F32" s="37">
        <f>SUM(F30)</f>
        <v>67171.66</v>
      </c>
      <c r="G32" s="38"/>
      <c r="H32" s="37">
        <f>SUM(H30)</f>
        <v>80605.990000000005</v>
      </c>
      <c r="I32" s="32"/>
      <c r="J32" s="37">
        <f>SUM(J30)</f>
        <v>55267.130000000005</v>
      </c>
      <c r="K32" s="36"/>
    </row>
    <row r="33" spans="1:11" x14ac:dyDescent="0.25">
      <c r="A33" s="30"/>
      <c r="B33" s="42"/>
      <c r="C33" s="32"/>
      <c r="D33" s="38"/>
      <c r="E33" s="32"/>
      <c r="F33" s="38"/>
      <c r="G33" s="38"/>
      <c r="H33" s="38"/>
      <c r="I33" s="32"/>
      <c r="J33" s="38"/>
      <c r="K33" s="36"/>
    </row>
    <row r="34" spans="1:11" x14ac:dyDescent="0.25">
      <c r="A34" s="30" t="s">
        <v>57</v>
      </c>
      <c r="B34" s="37">
        <f>B23-B32</f>
        <v>-3691.8099999999977</v>
      </c>
      <c r="C34" s="43"/>
      <c r="D34" s="44">
        <f>D23-D32</f>
        <v>130009.4</v>
      </c>
      <c r="E34" s="45"/>
      <c r="F34" s="37">
        <f>F23-F32</f>
        <v>46338.25</v>
      </c>
      <c r="G34" s="38"/>
      <c r="H34" s="37">
        <f>H23-H32</f>
        <v>55581.075000000026</v>
      </c>
      <c r="I34" s="32"/>
      <c r="J34" s="37">
        <f>J23-J32</f>
        <v>78654.677799999976</v>
      </c>
      <c r="K34" s="36"/>
    </row>
    <row r="35" spans="1:11" x14ac:dyDescent="0.25">
      <c r="A35" s="30"/>
      <c r="B35" s="39"/>
      <c r="C35" s="32"/>
      <c r="D35" s="38"/>
      <c r="E35" s="32"/>
      <c r="F35" s="38"/>
      <c r="G35" s="38"/>
      <c r="H35" s="38"/>
      <c r="I35" s="32"/>
      <c r="J35" s="38"/>
      <c r="K35" s="36"/>
    </row>
    <row r="36" spans="1:11" x14ac:dyDescent="0.25">
      <c r="A36" s="17" t="s">
        <v>58</v>
      </c>
      <c r="B36" s="18"/>
      <c r="C36" s="13"/>
      <c r="D36" s="12"/>
      <c r="E36" s="13"/>
      <c r="F36" s="12"/>
      <c r="G36" s="12"/>
      <c r="H36" s="12"/>
      <c r="I36" s="13"/>
      <c r="J36" s="12"/>
    </row>
    <row r="37" spans="1:11" x14ac:dyDescent="0.25">
      <c r="A37" s="17" t="s">
        <v>48</v>
      </c>
      <c r="B37" s="21">
        <v>-83405.86</v>
      </c>
      <c r="C37" s="13"/>
      <c r="D37" s="23">
        <v>-71192</v>
      </c>
      <c r="E37" s="13"/>
      <c r="F37" s="23">
        <v>-67106.600000000006</v>
      </c>
      <c r="G37" s="20">
        <f>F37/10</f>
        <v>-6710.6600000000008</v>
      </c>
      <c r="H37" s="23">
        <v>-80527.92</v>
      </c>
      <c r="I37" s="13"/>
      <c r="J37" s="23">
        <v>-82138.48</v>
      </c>
    </row>
    <row r="38" spans="1:11" x14ac:dyDescent="0.25">
      <c r="A38" s="17" t="s">
        <v>85</v>
      </c>
      <c r="B38" s="24">
        <v>191509.37</v>
      </c>
      <c r="C38" s="13"/>
      <c r="D38" s="24">
        <v>235130.27</v>
      </c>
      <c r="E38" s="13"/>
      <c r="F38" s="24">
        <v>184285.33</v>
      </c>
      <c r="G38" s="20">
        <f>F38/10</f>
        <v>18428.532999999999</v>
      </c>
      <c r="H38" s="24">
        <v>187498.22</v>
      </c>
      <c r="I38" s="13"/>
      <c r="J38" s="46">
        <v>164477</v>
      </c>
    </row>
    <row r="39" spans="1:11" x14ac:dyDescent="0.25">
      <c r="A39" s="17" t="s">
        <v>79</v>
      </c>
      <c r="B39" s="25">
        <f>SUM(B37:B38)</f>
        <v>108103.51</v>
      </c>
      <c r="C39" s="13"/>
      <c r="D39" s="25">
        <f>SUM(D37:D38)</f>
        <v>163938.26999999999</v>
      </c>
      <c r="E39" s="13"/>
      <c r="F39" s="25">
        <f>SUM(F37:F38)</f>
        <v>117178.72999999998</v>
      </c>
      <c r="G39" s="13"/>
      <c r="H39" s="25">
        <f>SUM(H37:H38)</f>
        <v>106970.3</v>
      </c>
      <c r="I39" s="13"/>
      <c r="J39" s="25">
        <f>SUM(J37:J38)</f>
        <v>82338.52</v>
      </c>
    </row>
    <row r="40" spans="1:11" x14ac:dyDescent="0.25">
      <c r="A40" s="17"/>
      <c r="B40" s="25"/>
      <c r="C40" s="13"/>
      <c r="D40" s="13"/>
      <c r="E40" s="13"/>
      <c r="F40" s="13"/>
      <c r="G40" s="13"/>
      <c r="H40" s="13"/>
      <c r="I40" s="13"/>
      <c r="J40" s="12"/>
    </row>
    <row r="41" spans="1:11" x14ac:dyDescent="0.25">
      <c r="A41" s="17" t="s">
        <v>80</v>
      </c>
      <c r="B41" s="22">
        <f>SUM(B39,B34)</f>
        <v>104411.7</v>
      </c>
      <c r="C41" s="18"/>
      <c r="D41" s="22">
        <f t="shared" ref="D41:H41" si="6">SUM(D39,D34)</f>
        <v>293947.67</v>
      </c>
      <c r="E41" s="18"/>
      <c r="F41" s="22">
        <f t="shared" si="6"/>
        <v>163516.97999999998</v>
      </c>
      <c r="G41" s="18"/>
      <c r="H41" s="22">
        <f t="shared" si="6"/>
        <v>162551.37500000003</v>
      </c>
      <c r="I41" s="13"/>
      <c r="J41" s="22">
        <v>60993.2</v>
      </c>
    </row>
    <row r="42" spans="1:1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1"/>
    </row>
    <row r="44" spans="1:11" x14ac:dyDescent="0.25">
      <c r="A44" s="26"/>
      <c r="B44" s="27"/>
    </row>
  </sheetData>
  <mergeCells count="1">
    <mergeCell ref="A44:B44"/>
  </mergeCells>
  <phoneticPr fontId="6" type="noConversion"/>
  <pageMargins left="0.2" right="0.2" top="0.25" bottom="0.25" header="0.3" footer="0.3"/>
  <pageSetup orientation="portrait" r:id="rId1"/>
  <headerFooter>
    <oddHeader>&amp;C&amp;"-,Bold"Town of Foyil
General Fund Adopted Budget 24-25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95B9-8739-4589-96A7-AA3F9B44321F}">
  <dimension ref="A1:B47"/>
  <sheetViews>
    <sheetView topLeftCell="A15" workbookViewId="0">
      <selection activeCell="A35" sqref="A35"/>
    </sheetView>
  </sheetViews>
  <sheetFormatPr defaultRowHeight="15" x14ac:dyDescent="0.25"/>
  <cols>
    <col min="1" max="1" width="26.140625" customWidth="1"/>
    <col min="2" max="2" width="37.85546875" customWidth="1"/>
  </cols>
  <sheetData>
    <row r="1" spans="1:2" ht="18" x14ac:dyDescent="0.25">
      <c r="A1" s="28" t="s">
        <v>49</v>
      </c>
      <c r="B1" s="27"/>
    </row>
    <row r="2" spans="1:2" ht="18" x14ac:dyDescent="0.25">
      <c r="A2" s="28" t="s">
        <v>50</v>
      </c>
      <c r="B2" s="27"/>
    </row>
    <row r="3" spans="1:2" x14ac:dyDescent="0.25">
      <c r="A3" s="29" t="s">
        <v>64</v>
      </c>
      <c r="B3" s="27"/>
    </row>
    <row r="5" spans="1:2" x14ac:dyDescent="0.25">
      <c r="A5" s="1"/>
      <c r="B5" s="8" t="s">
        <v>65</v>
      </c>
    </row>
    <row r="6" spans="1:2" x14ac:dyDescent="0.25">
      <c r="A6" s="2" t="s">
        <v>0</v>
      </c>
      <c r="B6" s="3"/>
    </row>
    <row r="7" spans="1:2" x14ac:dyDescent="0.25">
      <c r="A7" s="2" t="s">
        <v>1</v>
      </c>
      <c r="B7" s="4">
        <f>119840.8</f>
        <v>119840.8</v>
      </c>
    </row>
    <row r="8" spans="1:2" x14ac:dyDescent="0.25">
      <c r="A8" s="2" t="s">
        <v>2</v>
      </c>
      <c r="B8" s="4">
        <f>27085.55</f>
        <v>27085.55</v>
      </c>
    </row>
    <row r="9" spans="1:2" x14ac:dyDescent="0.25">
      <c r="A9" s="2" t="s">
        <v>3</v>
      </c>
      <c r="B9" s="4">
        <f>3126.2</f>
        <v>3126.2</v>
      </c>
    </row>
    <row r="10" spans="1:2" x14ac:dyDescent="0.25">
      <c r="A10" s="2" t="s">
        <v>4</v>
      </c>
      <c r="B10" s="4">
        <f>761.65</f>
        <v>761.65</v>
      </c>
    </row>
    <row r="11" spans="1:2" x14ac:dyDescent="0.25">
      <c r="A11" s="2" t="s">
        <v>5</v>
      </c>
      <c r="B11" s="4">
        <f>612.85</f>
        <v>612.85</v>
      </c>
    </row>
    <row r="12" spans="1:2" x14ac:dyDescent="0.25">
      <c r="A12" s="2" t="s">
        <v>66</v>
      </c>
      <c r="B12" s="4">
        <f>2188.1</f>
        <v>2188.1</v>
      </c>
    </row>
    <row r="13" spans="1:2" x14ac:dyDescent="0.25">
      <c r="A13" s="2" t="s">
        <v>6</v>
      </c>
      <c r="B13" s="4">
        <f>6652.25</f>
        <v>6652.25</v>
      </c>
    </row>
    <row r="14" spans="1:2" ht="23.25" x14ac:dyDescent="0.25">
      <c r="A14" s="2" t="s">
        <v>7</v>
      </c>
      <c r="B14" s="4">
        <f>853</f>
        <v>853</v>
      </c>
    </row>
    <row r="15" spans="1:2" x14ac:dyDescent="0.25">
      <c r="A15" s="2" t="s">
        <v>8</v>
      </c>
      <c r="B15" s="4">
        <f>525</f>
        <v>525</v>
      </c>
    </row>
    <row r="16" spans="1:2" x14ac:dyDescent="0.25">
      <c r="A16" s="2" t="s">
        <v>9</v>
      </c>
      <c r="B16" s="4">
        <f>50</f>
        <v>50</v>
      </c>
    </row>
    <row r="17" spans="1:2" x14ac:dyDescent="0.25">
      <c r="A17" s="2" t="s">
        <v>13</v>
      </c>
      <c r="B17" s="4">
        <f>3504.01</f>
        <v>3504.01</v>
      </c>
    </row>
    <row r="18" spans="1:2" x14ac:dyDescent="0.25">
      <c r="A18" s="2" t="s">
        <v>15</v>
      </c>
      <c r="B18" s="5">
        <f>((((((((((B7)+(B8))+(B9))+(B10))+(B11))+(B12))+(B13))+(B14))+(B15))+(B16))+(B17)</f>
        <v>165199.41000000003</v>
      </c>
    </row>
    <row r="19" spans="1:2" x14ac:dyDescent="0.25">
      <c r="A19" s="2" t="s">
        <v>67</v>
      </c>
      <c r="B19" s="5">
        <f>(B18)-(0)</f>
        <v>165199.41000000003</v>
      </c>
    </row>
    <row r="20" spans="1:2" x14ac:dyDescent="0.25">
      <c r="A20" s="2" t="s">
        <v>68</v>
      </c>
      <c r="B20" s="3"/>
    </row>
    <row r="21" spans="1:2" x14ac:dyDescent="0.25">
      <c r="A21" s="2" t="s">
        <v>69</v>
      </c>
      <c r="B21" s="4">
        <f>11283</f>
        <v>11283</v>
      </c>
    </row>
    <row r="22" spans="1:2" x14ac:dyDescent="0.25">
      <c r="A22" s="2" t="s">
        <v>16</v>
      </c>
      <c r="B22" s="4">
        <f>1043.68</f>
        <v>1043.68</v>
      </c>
    </row>
    <row r="23" spans="1:2" x14ac:dyDescent="0.25">
      <c r="A23" s="2" t="s">
        <v>18</v>
      </c>
      <c r="B23" s="4">
        <f>1764.34</f>
        <v>1764.34</v>
      </c>
    </row>
    <row r="24" spans="1:2" ht="23.25" x14ac:dyDescent="0.25">
      <c r="A24" s="2" t="s">
        <v>19</v>
      </c>
      <c r="B24" s="4">
        <f>256.8</f>
        <v>256.8</v>
      </c>
    </row>
    <row r="25" spans="1:2" ht="23.25" x14ac:dyDescent="0.25">
      <c r="A25" s="2" t="s">
        <v>70</v>
      </c>
      <c r="B25" s="4">
        <f>15.36</f>
        <v>15.36</v>
      </c>
    </row>
    <row r="26" spans="1:2" x14ac:dyDescent="0.25">
      <c r="A26" s="2" t="s">
        <v>20</v>
      </c>
      <c r="B26" s="4">
        <f>1383.22</f>
        <v>1383.22</v>
      </c>
    </row>
    <row r="27" spans="1:2" x14ac:dyDescent="0.25">
      <c r="A27" s="2" t="s">
        <v>22</v>
      </c>
      <c r="B27" s="4">
        <f>492.76</f>
        <v>492.76</v>
      </c>
    </row>
    <row r="28" spans="1:2" x14ac:dyDescent="0.25">
      <c r="A28" s="2" t="s">
        <v>23</v>
      </c>
      <c r="B28" s="4">
        <f>5997.24</f>
        <v>5997.24</v>
      </c>
    </row>
    <row r="29" spans="1:2" ht="23.25" x14ac:dyDescent="0.25">
      <c r="A29" s="2" t="s">
        <v>25</v>
      </c>
      <c r="B29" s="4">
        <f>3768</f>
        <v>3768</v>
      </c>
    </row>
    <row r="30" spans="1:2" x14ac:dyDescent="0.25">
      <c r="A30" s="2" t="s">
        <v>27</v>
      </c>
      <c r="B30" s="4">
        <f>11135.3</f>
        <v>11135.3</v>
      </c>
    </row>
    <row r="31" spans="1:2" x14ac:dyDescent="0.25">
      <c r="A31" s="2" t="s">
        <v>29</v>
      </c>
      <c r="B31" s="4">
        <f>0</f>
        <v>0</v>
      </c>
    </row>
    <row r="32" spans="1:2" x14ac:dyDescent="0.25">
      <c r="A32" s="2" t="s">
        <v>30</v>
      </c>
      <c r="B32" s="4">
        <f>250</f>
        <v>250</v>
      </c>
    </row>
    <row r="33" spans="1:2" x14ac:dyDescent="0.25">
      <c r="A33" s="2" t="s">
        <v>32</v>
      </c>
      <c r="B33" s="4">
        <f>394.48</f>
        <v>394.48</v>
      </c>
    </row>
    <row r="34" spans="1:2" ht="23.25" x14ac:dyDescent="0.25">
      <c r="A34" s="2" t="s">
        <v>33</v>
      </c>
      <c r="B34" s="4">
        <f>3167.41</f>
        <v>3167.41</v>
      </c>
    </row>
    <row r="35" spans="1:2" x14ac:dyDescent="0.25">
      <c r="A35" s="2" t="s">
        <v>35</v>
      </c>
      <c r="B35" s="4">
        <f>420.2</f>
        <v>420.2</v>
      </c>
    </row>
    <row r="36" spans="1:2" ht="23.25" x14ac:dyDescent="0.25">
      <c r="A36" s="2" t="s">
        <v>37</v>
      </c>
      <c r="B36" s="4">
        <f>775.35</f>
        <v>775.35</v>
      </c>
    </row>
    <row r="37" spans="1:2" x14ac:dyDescent="0.25">
      <c r="A37" s="2" t="s">
        <v>39</v>
      </c>
      <c r="B37" s="4">
        <f>212.22</f>
        <v>212.22</v>
      </c>
    </row>
    <row r="38" spans="1:2" x14ac:dyDescent="0.25">
      <c r="A38" s="2" t="s">
        <v>43</v>
      </c>
      <c r="B38" s="4">
        <f>1256.47</f>
        <v>1256.47</v>
      </c>
    </row>
    <row r="39" spans="1:2" ht="23.25" x14ac:dyDescent="0.25">
      <c r="A39" s="2" t="s">
        <v>46</v>
      </c>
      <c r="B39" s="4">
        <f>2310</f>
        <v>2310</v>
      </c>
    </row>
    <row r="40" spans="1:2" x14ac:dyDescent="0.25">
      <c r="A40" s="2" t="s">
        <v>47</v>
      </c>
      <c r="B40" s="5">
        <f>SUM(B21:B39)</f>
        <v>45925.829999999994</v>
      </c>
    </row>
    <row r="41" spans="1:2" x14ac:dyDescent="0.25">
      <c r="A41" s="2" t="s">
        <v>71</v>
      </c>
      <c r="B41" s="5">
        <f>(B19)-(B40)</f>
        <v>119273.58000000005</v>
      </c>
    </row>
    <row r="42" spans="1:2" x14ac:dyDescent="0.25">
      <c r="A42" s="2" t="s">
        <v>72</v>
      </c>
      <c r="B42" s="3"/>
    </row>
    <row r="43" spans="1:2" x14ac:dyDescent="0.25">
      <c r="A43" s="2" t="s">
        <v>48</v>
      </c>
      <c r="B43" s="4">
        <f>117559.22</f>
        <v>117559.22</v>
      </c>
    </row>
    <row r="44" spans="1:2" ht="23.25" x14ac:dyDescent="0.25">
      <c r="A44" s="2" t="s">
        <v>73</v>
      </c>
      <c r="B44" s="4">
        <f>-50</f>
        <v>-50</v>
      </c>
    </row>
    <row r="45" spans="1:2" x14ac:dyDescent="0.25">
      <c r="A45" s="2" t="s">
        <v>74</v>
      </c>
      <c r="B45" s="5">
        <f>(B43)+(B44)</f>
        <v>117509.22</v>
      </c>
    </row>
    <row r="46" spans="1:2" x14ac:dyDescent="0.25">
      <c r="A46" s="2" t="s">
        <v>75</v>
      </c>
      <c r="B46" s="5">
        <f>(0)-(B45)</f>
        <v>-117509.22</v>
      </c>
    </row>
    <row r="47" spans="1:2" x14ac:dyDescent="0.25">
      <c r="A47" s="2" t="s">
        <v>76</v>
      </c>
      <c r="B47" s="5">
        <f>(B41)+(B46)</f>
        <v>1764.3600000000442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C3DE-645C-4BCB-90FB-0357579FEA4B}">
  <dimension ref="A1:B16"/>
  <sheetViews>
    <sheetView workbookViewId="0">
      <selection activeCell="G21" sqref="G21"/>
    </sheetView>
  </sheetViews>
  <sheetFormatPr defaultRowHeight="15" x14ac:dyDescent="0.25"/>
  <cols>
    <col min="1" max="1" width="63.28515625" customWidth="1"/>
  </cols>
  <sheetData>
    <row r="1" spans="1:2" x14ac:dyDescent="0.25">
      <c r="A1" s="2" t="s">
        <v>17</v>
      </c>
      <c r="B1" s="4">
        <v>4009.92</v>
      </c>
    </row>
    <row r="2" spans="1:2" x14ac:dyDescent="0.25">
      <c r="A2" s="2" t="s">
        <v>19</v>
      </c>
      <c r="B2" s="4">
        <v>4100.2299999999996</v>
      </c>
    </row>
    <row r="3" spans="1:2" x14ac:dyDescent="0.25">
      <c r="A3" s="2" t="s">
        <v>21</v>
      </c>
      <c r="B3" s="4">
        <v>11015.96</v>
      </c>
    </row>
    <row r="4" spans="1:2" x14ac:dyDescent="0.25">
      <c r="A4" s="2" t="s">
        <v>24</v>
      </c>
      <c r="B4" s="4">
        <v>1549.18</v>
      </c>
    </row>
    <row r="5" spans="1:2" x14ac:dyDescent="0.25">
      <c r="A5" s="2" t="s">
        <v>26</v>
      </c>
      <c r="B5" s="4">
        <v>1612.75</v>
      </c>
    </row>
    <row r="6" spans="1:2" x14ac:dyDescent="0.25">
      <c r="A6" s="2" t="s">
        <v>29</v>
      </c>
      <c r="B6" s="4">
        <v>5775</v>
      </c>
    </row>
    <row r="7" spans="1:2" x14ac:dyDescent="0.25">
      <c r="A7" s="2" t="s">
        <v>34</v>
      </c>
      <c r="B7" s="4">
        <v>12395.04</v>
      </c>
    </row>
    <row r="8" spans="1:2" x14ac:dyDescent="0.25">
      <c r="A8" s="2" t="s">
        <v>36</v>
      </c>
      <c r="B8" s="4">
        <v>6717.14</v>
      </c>
    </row>
    <row r="9" spans="1:2" x14ac:dyDescent="0.25">
      <c r="A9" s="2" t="s">
        <v>38</v>
      </c>
      <c r="B9" s="4">
        <v>200</v>
      </c>
    </row>
    <row r="10" spans="1:2" x14ac:dyDescent="0.25">
      <c r="A10" s="2" t="s">
        <v>40</v>
      </c>
      <c r="B10" s="4">
        <v>301.13</v>
      </c>
    </row>
    <row r="11" spans="1:2" x14ac:dyDescent="0.25">
      <c r="A11" s="2" t="s">
        <v>41</v>
      </c>
      <c r="B11" s="4">
        <v>17935.330000000002</v>
      </c>
    </row>
    <row r="12" spans="1:2" x14ac:dyDescent="0.25">
      <c r="A12" s="2" t="s">
        <v>42</v>
      </c>
      <c r="B12" s="4">
        <v>41.09</v>
      </c>
    </row>
    <row r="13" spans="1:2" x14ac:dyDescent="0.25">
      <c r="A13" s="2" t="s">
        <v>31</v>
      </c>
      <c r="B13" s="4">
        <f>12000.06</f>
        <v>12000.06</v>
      </c>
    </row>
    <row r="14" spans="1:2" x14ac:dyDescent="0.25">
      <c r="A14" s="2"/>
      <c r="B14" s="7">
        <f>SUM(B1:B13)</f>
        <v>77652.829999999987</v>
      </c>
    </row>
    <row r="15" spans="1:2" x14ac:dyDescent="0.25">
      <c r="A15" s="2"/>
      <c r="B15" s="4"/>
    </row>
    <row r="16" spans="1:2" x14ac:dyDescent="0.25">
      <c r="A16" s="2" t="s">
        <v>45</v>
      </c>
      <c r="B16" s="4">
        <v>43073.91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57BD-8936-44D5-B6B9-E4B62FD38F4A}">
  <dimension ref="A1:B18"/>
  <sheetViews>
    <sheetView workbookViewId="0">
      <selection activeCell="E27" sqref="E27"/>
    </sheetView>
  </sheetViews>
  <sheetFormatPr defaultRowHeight="15" x14ac:dyDescent="0.25"/>
  <cols>
    <col min="1" max="1" width="40.140625" customWidth="1"/>
    <col min="2" max="2" width="9.5703125" bestFit="1" customWidth="1"/>
  </cols>
  <sheetData>
    <row r="1" spans="1:2" x14ac:dyDescent="0.25">
      <c r="A1" s="2" t="s">
        <v>16</v>
      </c>
      <c r="B1" s="4">
        <f>2123.81</f>
        <v>2123.81</v>
      </c>
    </row>
    <row r="2" spans="1:2" x14ac:dyDescent="0.25">
      <c r="A2" s="2" t="s">
        <v>18</v>
      </c>
      <c r="B2" s="4">
        <f>1302.67</f>
        <v>1302.67</v>
      </c>
    </row>
    <row r="3" spans="1:2" x14ac:dyDescent="0.25">
      <c r="A3" s="2" t="s">
        <v>20</v>
      </c>
      <c r="B3" s="4">
        <f>1929.53</f>
        <v>1929.53</v>
      </c>
    </row>
    <row r="4" spans="1:2" x14ac:dyDescent="0.25">
      <c r="A4" s="2" t="s">
        <v>22</v>
      </c>
      <c r="B4" s="4">
        <f>240</f>
        <v>240</v>
      </c>
    </row>
    <row r="5" spans="1:2" x14ac:dyDescent="0.25">
      <c r="A5" s="2" t="s">
        <v>23</v>
      </c>
      <c r="B5" s="4">
        <f>4690.64</f>
        <v>4690.6400000000003</v>
      </c>
    </row>
    <row r="6" spans="1:2" x14ac:dyDescent="0.25">
      <c r="A6" s="2" t="s">
        <v>25</v>
      </c>
      <c r="B6" s="4">
        <f>2197.73</f>
        <v>2197.73</v>
      </c>
    </row>
    <row r="7" spans="1:2" x14ac:dyDescent="0.25">
      <c r="A7" s="2" t="s">
        <v>27</v>
      </c>
      <c r="B7" s="4">
        <f>29380.14</f>
        <v>29380.14</v>
      </c>
    </row>
    <row r="8" spans="1:2" x14ac:dyDescent="0.25">
      <c r="A8" s="2" t="s">
        <v>28</v>
      </c>
      <c r="B8" s="4">
        <f>0</f>
        <v>0</v>
      </c>
    </row>
    <row r="9" spans="1:2" x14ac:dyDescent="0.25">
      <c r="A9" s="2" t="s">
        <v>30</v>
      </c>
      <c r="B9" s="4">
        <f>250</f>
        <v>250</v>
      </c>
    </row>
    <row r="10" spans="1:2" x14ac:dyDescent="0.25">
      <c r="A10" s="2" t="s">
        <v>32</v>
      </c>
      <c r="B10" s="4">
        <f>335.77</f>
        <v>335.77</v>
      </c>
    </row>
    <row r="11" spans="1:2" x14ac:dyDescent="0.25">
      <c r="A11" s="2" t="s">
        <v>33</v>
      </c>
      <c r="B11" s="4">
        <f>13970.55</f>
        <v>13970.55</v>
      </c>
    </row>
    <row r="12" spans="1:2" x14ac:dyDescent="0.25">
      <c r="A12" s="2" t="s">
        <v>35</v>
      </c>
      <c r="B12" s="4">
        <f>277.16</f>
        <v>277.16000000000003</v>
      </c>
    </row>
    <row r="13" spans="1:2" x14ac:dyDescent="0.25">
      <c r="A13" s="2" t="s">
        <v>37</v>
      </c>
      <c r="B13" s="4">
        <f>1398.87</f>
        <v>1398.87</v>
      </c>
    </row>
    <row r="14" spans="1:2" x14ac:dyDescent="0.25">
      <c r="A14" s="2" t="s">
        <v>39</v>
      </c>
      <c r="B14" s="4">
        <f>319.32</f>
        <v>319.32</v>
      </c>
    </row>
    <row r="15" spans="1:2" x14ac:dyDescent="0.25">
      <c r="A15" s="2" t="s">
        <v>43</v>
      </c>
      <c r="B15" s="4">
        <f>5618.63</f>
        <v>5618.63</v>
      </c>
    </row>
    <row r="16" spans="1:2" x14ac:dyDescent="0.25">
      <c r="A16" s="2" t="s">
        <v>44</v>
      </c>
      <c r="B16" s="4">
        <f>0</f>
        <v>0</v>
      </c>
    </row>
    <row r="17" spans="1:2" x14ac:dyDescent="0.25">
      <c r="A17" s="2" t="s">
        <v>46</v>
      </c>
      <c r="B17" s="4">
        <f>0</f>
        <v>0</v>
      </c>
    </row>
    <row r="18" spans="1:2" x14ac:dyDescent="0.25">
      <c r="A18" s="2" t="s">
        <v>47</v>
      </c>
      <c r="B18" s="5">
        <f>SUM(B1:B17)</f>
        <v>64034.82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Profit and Loss</vt:lpstr>
      <vt:lpstr>Sheet1 10 months </vt:lpstr>
      <vt:lpstr>PD</vt:lpstr>
      <vt:lpstr>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Town Foyil</cp:lastModifiedBy>
  <cp:lastPrinted>2026-05-12T15:08:51Z</cp:lastPrinted>
  <dcterms:created xsi:type="dcterms:W3CDTF">2024-05-05T22:20:37Z</dcterms:created>
  <dcterms:modified xsi:type="dcterms:W3CDTF">2026-05-13T18:47:06Z</dcterms:modified>
</cp:coreProperties>
</file>